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7280" windowHeight="10170" activeTab="0"/>
  </bookViews>
  <sheets>
    <sheet name="Hungarian2003" sheetId="1" r:id="rId1"/>
  </sheets>
  <definedNames/>
  <calcPr fullCalcOnLoad="1"/>
</workbook>
</file>

<file path=xl/sharedStrings.xml><?xml version="1.0" encoding="utf-8"?>
<sst xmlns="http://schemas.openxmlformats.org/spreadsheetml/2006/main" count="192" uniqueCount="38">
  <si>
    <t>Format</t>
  </si>
  <si>
    <t>sec</t>
  </si>
  <si>
    <t>:</t>
  </si>
  <si>
    <t>.</t>
  </si>
  <si>
    <t>1500st</t>
  </si>
  <si>
    <t>mm:ss.hh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</si>
  <si>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</si>
  <si>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</si>
  <si>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</si>
  <si>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</si>
  <si>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</si>
  <si>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</si>
  <si>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</si>
  <si>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</si>
  <si>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</si>
  <si>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</si>
  <si>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m</t>
  </si>
  <si>
    <t>Hammer</t>
  </si>
  <si>
    <t>4*200</t>
  </si>
  <si>
    <t>Outdoor</t>
  </si>
  <si>
    <t>Indoor</t>
  </si>
  <si>
    <t>320m Hü</t>
  </si>
  <si>
    <t>Hungarian Tables</t>
  </si>
  <si>
    <t>55h</t>
  </si>
  <si>
    <t>320h</t>
  </si>
  <si>
    <t>BLV Calculator Hungarian Tables</t>
  </si>
  <si>
    <t>Men</t>
  </si>
  <si>
    <t>Women</t>
  </si>
  <si>
    <t>Event</t>
  </si>
  <si>
    <t>Performance</t>
  </si>
  <si>
    <t>Javelin</t>
  </si>
  <si>
    <t>Discus</t>
  </si>
  <si>
    <t>Polevault</t>
  </si>
  <si>
    <t>Longjump</t>
  </si>
  <si>
    <t>Highjump</t>
  </si>
  <si>
    <t>1 Mile</t>
  </si>
  <si>
    <t>Shotput</t>
  </si>
  <si>
    <t>Triplejump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</si>
</sst>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#.0"/>
    <numFmt numFmtId="166" formatCode="000"/>
    <numFmt numFmtId="167" formatCode="0.0"/>
    <numFmt numFmtId="168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4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4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/>
    </xf>
    <xf numFmtId="0" fontId="2" fillId="5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4" borderId="15" xfId="0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4" borderId="17" xfId="0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4" borderId="0" xfId="0" applyFill="1" applyBorder="1" applyAlignment="1">
      <alignment/>
    </xf>
    <xf numFmtId="0" fontId="3" fillId="0" borderId="0" xfId="0" applyFont="1" applyAlignment="1">
      <alignment vertical="top"/>
    </xf>
    <xf numFmtId="0" fontId="0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9" xfId="0" applyFont="1" applyFill="1" applyBorder="1" applyAlignment="1">
      <alignment/>
    </xf>
    <xf numFmtId="164" fontId="0" fillId="2" borderId="9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 horizontal="right"/>
    </xf>
    <xf numFmtId="2" fontId="0" fillId="2" borderId="2" xfId="0" applyNumberFormat="1" applyFont="1" applyFill="1" applyBorder="1" applyAlignment="1">
      <alignment horizontal="right"/>
    </xf>
    <xf numFmtId="2" fontId="0" fillId="2" borderId="21" xfId="0" applyNumberFormat="1" applyFont="1" applyFill="1" applyBorder="1" applyAlignment="1">
      <alignment horizontal="right"/>
    </xf>
    <xf numFmtId="2" fontId="0" fillId="2" borderId="22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2" fontId="0" fillId="2" borderId="23" xfId="0" applyNumberFormat="1" applyFont="1" applyFill="1" applyBorder="1" applyAlignment="1">
      <alignment horizontal="right"/>
    </xf>
    <xf numFmtId="2" fontId="0" fillId="2" borderId="24" xfId="0" applyNumberFormat="1" applyFont="1" applyFill="1" applyBorder="1" applyAlignment="1">
      <alignment horizontal="right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19050</xdr:rowOff>
    </xdr:from>
    <xdr:to>
      <xdr:col>21</xdr:col>
      <xdr:colOff>123825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9050"/>
          <a:ext cx="5715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showGridLines="0" tabSelected="1" workbookViewId="0" topLeftCell="A1">
      <selection activeCell="A44" sqref="A44"/>
    </sheetView>
  </sheetViews>
  <sheetFormatPr defaultColWidth="11.421875" defaultRowHeight="12.75"/>
  <cols>
    <col min="1" max="1" width="17.00390625" style="0" customWidth="1"/>
    <col min="2" max="2" width="3.7109375" style="0" customWidth="1"/>
    <col min="3" max="3" width="1.1484375" style="16" customWidth="1"/>
    <col min="4" max="4" width="3.140625" style="0" customWidth="1"/>
    <col min="5" max="5" width="0.9921875" style="16" customWidth="1"/>
    <col min="6" max="6" width="3.28125" style="0" customWidth="1"/>
    <col min="7" max="7" width="6.140625" style="0" hidden="1" customWidth="1"/>
    <col min="8" max="8" width="8.8515625" style="0" hidden="1" customWidth="1"/>
    <col min="9" max="9" width="9.28125" style="0" bestFit="1" customWidth="1"/>
    <col min="10" max="11" width="11.7109375" style="0" customWidth="1"/>
    <col min="12" max="12" width="3.7109375" style="0" customWidth="1"/>
    <col min="13" max="13" width="17.00390625" style="0" customWidth="1"/>
    <col min="14" max="14" width="3.7109375" style="0" customWidth="1"/>
    <col min="15" max="15" width="1.1484375" style="16" customWidth="1"/>
    <col min="16" max="16" width="3.140625" style="0" customWidth="1"/>
    <col min="17" max="17" width="0.9921875" style="16" customWidth="1"/>
    <col min="18" max="18" width="3.28125" style="0" customWidth="1"/>
    <col min="19" max="19" width="6.140625" style="0" hidden="1" customWidth="1"/>
    <col min="20" max="20" width="8.8515625" style="0" hidden="1" customWidth="1"/>
    <col min="21" max="21" width="9.28125" style="0" bestFit="1" customWidth="1"/>
    <col min="22" max="23" width="11.7109375" style="0" customWidth="1"/>
  </cols>
  <sheetData>
    <row r="1" ht="36.75" customHeight="1"/>
    <row r="2" spans="1:23" ht="30" customHeight="1" thickBo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 t="s">
        <v>26</v>
      </c>
      <c r="L2" s="45"/>
      <c r="M2" s="45" t="s">
        <v>25</v>
      </c>
      <c r="N2" s="45"/>
      <c r="O2" s="45"/>
      <c r="P2" s="45"/>
      <c r="Q2" s="45"/>
      <c r="R2" s="45"/>
      <c r="S2" s="45"/>
      <c r="T2" s="45"/>
      <c r="U2" s="45"/>
      <c r="V2" s="45"/>
      <c r="W2" s="45" t="s">
        <v>27</v>
      </c>
    </row>
    <row r="3" spans="1:23" ht="12.75">
      <c r="A3" s="23" t="s">
        <v>26</v>
      </c>
      <c r="B3" s="24"/>
      <c r="C3" s="25"/>
      <c r="D3" s="24"/>
      <c r="E3" s="25"/>
      <c r="F3" s="24"/>
      <c r="G3" s="24"/>
      <c r="H3" s="24"/>
      <c r="I3" s="24"/>
      <c r="J3" s="59" t="s">
        <v>22</v>
      </c>
      <c r="K3" s="60"/>
      <c r="M3" s="27" t="s">
        <v>27</v>
      </c>
      <c r="N3" s="28"/>
      <c r="O3" s="29"/>
      <c r="P3" s="28"/>
      <c r="Q3" s="29"/>
      <c r="R3" s="28"/>
      <c r="S3" s="30"/>
      <c r="T3" s="30"/>
      <c r="U3" s="31"/>
      <c r="V3" s="59" t="s">
        <v>22</v>
      </c>
      <c r="W3" s="60"/>
    </row>
    <row r="4" spans="1:23" ht="13.5" thickBot="1">
      <c r="A4" s="32" t="s">
        <v>28</v>
      </c>
      <c r="B4" s="49" t="s">
        <v>29</v>
      </c>
      <c r="C4" s="49"/>
      <c r="D4" s="49"/>
      <c r="E4" s="49"/>
      <c r="F4" s="49"/>
      <c r="G4" s="33"/>
      <c r="H4" s="33"/>
      <c r="I4" s="34" t="s">
        <v>0</v>
      </c>
      <c r="J4" s="26" t="s">
        <v>19</v>
      </c>
      <c r="K4" s="35" t="s">
        <v>20</v>
      </c>
      <c r="M4" s="32" t="s">
        <v>28</v>
      </c>
      <c r="N4" s="49" t="s">
        <v>29</v>
      </c>
      <c r="O4" s="49"/>
      <c r="P4" s="49"/>
      <c r="Q4" s="49"/>
      <c r="R4" s="49"/>
      <c r="S4" s="33"/>
      <c r="T4" s="33"/>
      <c r="U4" s="34" t="s">
        <v>0</v>
      </c>
      <c r="V4" s="26" t="s">
        <v>19</v>
      </c>
      <c r="W4" s="35" t="s">
        <v>20</v>
      </c>
    </row>
    <row r="5" spans="1:23" ht="12.75">
      <c r="A5" s="36">
        <v>50</v>
      </c>
      <c r="B5" s="50">
        <v>7.2</v>
      </c>
      <c r="C5" s="51"/>
      <c r="D5" s="51"/>
      <c r="E5" s="51"/>
      <c r="F5" s="52"/>
      <c r="G5" s="20"/>
      <c r="H5" s="20"/>
      <c r="I5" s="21" t="s">
        <v>1</v>
      </c>
      <c r="J5" s="22">
        <f>INT(81.205*((9.5-B5)^2)+0)</f>
        <v>429</v>
      </c>
      <c r="K5" s="37"/>
      <c r="M5" s="41">
        <v>50</v>
      </c>
      <c r="N5" s="50">
        <v>7.45</v>
      </c>
      <c r="O5" s="51"/>
      <c r="P5" s="51"/>
      <c r="Q5" s="51"/>
      <c r="R5" s="52"/>
      <c r="S5" s="42"/>
      <c r="T5" s="20"/>
      <c r="U5" s="12" t="s">
        <v>1</v>
      </c>
      <c r="V5" s="22">
        <f>INT(25.019*((13.1-N5)^2)+0)</f>
        <v>798</v>
      </c>
      <c r="W5" s="37"/>
    </row>
    <row r="6" spans="1:23" ht="12.75">
      <c r="A6" s="38">
        <v>55</v>
      </c>
      <c r="B6" s="53">
        <v>8.5</v>
      </c>
      <c r="C6" s="54"/>
      <c r="D6" s="54"/>
      <c r="E6" s="54"/>
      <c r="F6" s="55"/>
      <c r="G6" s="2"/>
      <c r="H6" s="2"/>
      <c r="I6" s="1" t="s">
        <v>1</v>
      </c>
      <c r="J6" s="14"/>
      <c r="K6" s="39">
        <f>INT(67.92*((10.3-B6)^2)+0)</f>
        <v>220</v>
      </c>
      <c r="M6" s="43">
        <v>55</v>
      </c>
      <c r="N6" s="53">
        <v>8.55</v>
      </c>
      <c r="O6" s="54"/>
      <c r="P6" s="54"/>
      <c r="Q6" s="54"/>
      <c r="R6" s="55"/>
      <c r="S6" s="42"/>
      <c r="T6" s="2"/>
      <c r="U6" s="6" t="s">
        <v>1</v>
      </c>
      <c r="V6" s="14"/>
      <c r="W6" s="39">
        <f>INT(20.568*((14.3-N6)^2)+0)</f>
        <v>680</v>
      </c>
    </row>
    <row r="7" spans="1:23" ht="12.75">
      <c r="A7" s="38">
        <v>60</v>
      </c>
      <c r="B7" s="53">
        <v>8.1</v>
      </c>
      <c r="C7" s="54"/>
      <c r="D7" s="54"/>
      <c r="E7" s="54"/>
      <c r="F7" s="55"/>
      <c r="G7" s="2"/>
      <c r="H7" s="2"/>
      <c r="I7" s="1" t="s">
        <v>1</v>
      </c>
      <c r="J7" s="14"/>
      <c r="K7" s="39">
        <f>INT(57.692*((10.3-B7)^2)+1.02617)</f>
        <v>280</v>
      </c>
      <c r="M7" s="43">
        <v>60</v>
      </c>
      <c r="N7" s="53">
        <v>8.1</v>
      </c>
      <c r="O7" s="54"/>
      <c r="P7" s="54"/>
      <c r="Q7" s="54"/>
      <c r="R7" s="55"/>
      <c r="S7" s="42"/>
      <c r="T7" s="2"/>
      <c r="U7" s="6" t="s">
        <v>1</v>
      </c>
      <c r="V7" s="14"/>
      <c r="W7" s="39">
        <f>INT(17.573*((15.4-N7)^2)+0)</f>
        <v>936</v>
      </c>
    </row>
    <row r="8" spans="1:23" ht="12.75">
      <c r="A8" s="38">
        <v>100</v>
      </c>
      <c r="B8" s="53">
        <v>10.06</v>
      </c>
      <c r="C8" s="54"/>
      <c r="D8" s="54"/>
      <c r="E8" s="54"/>
      <c r="F8" s="55"/>
      <c r="G8" s="2"/>
      <c r="H8" s="2"/>
      <c r="I8" s="1" t="s">
        <v>1</v>
      </c>
      <c r="J8" s="14">
        <f>INT(21.746*((17.50525-B8)^2)+1.02617)</f>
        <v>1206</v>
      </c>
      <c r="K8" s="39"/>
      <c r="M8" s="43">
        <v>100</v>
      </c>
      <c r="N8" s="53">
        <v>12.17</v>
      </c>
      <c r="O8" s="54"/>
      <c r="P8" s="54"/>
      <c r="Q8" s="54"/>
      <c r="R8" s="55"/>
      <c r="S8" s="42"/>
      <c r="T8" s="2"/>
      <c r="U8" s="6" t="s">
        <v>1</v>
      </c>
      <c r="V8" s="14">
        <f>INT(6.5713*((24.5-N8)^2)+0)</f>
        <v>999</v>
      </c>
      <c r="W8" s="39"/>
    </row>
    <row r="9" spans="1:23" ht="12.75">
      <c r="A9" s="38">
        <v>200</v>
      </c>
      <c r="B9" s="53">
        <v>19.42</v>
      </c>
      <c r="C9" s="54"/>
      <c r="D9" s="54"/>
      <c r="E9" s="54"/>
      <c r="F9" s="55"/>
      <c r="G9" s="2"/>
      <c r="H9" s="2"/>
      <c r="I9" s="1" t="s">
        <v>1</v>
      </c>
      <c r="J9" s="14">
        <f>INT(4.79086*((36.0166-B9)^2)+1.06548)</f>
        <v>1320</v>
      </c>
      <c r="K9" s="39">
        <f>INT(5.077*((36-B9)^2)+0)</f>
        <v>1395</v>
      </c>
      <c r="M9" s="43">
        <v>200</v>
      </c>
      <c r="N9" s="53">
        <v>25.7</v>
      </c>
      <c r="O9" s="54"/>
      <c r="P9" s="54"/>
      <c r="Q9" s="54"/>
      <c r="R9" s="55"/>
      <c r="S9" s="42"/>
      <c r="T9" s="2"/>
      <c r="U9" s="6" t="s">
        <v>1</v>
      </c>
      <c r="V9" s="14">
        <f>INT(1.2685*((53-N9)^2)+0)</f>
        <v>945</v>
      </c>
      <c r="W9" s="39">
        <f>INT(1.3216*((53-N9)^2)+0)</f>
        <v>984</v>
      </c>
    </row>
    <row r="10" spans="1:23" ht="12.75">
      <c r="A10" s="38">
        <v>300</v>
      </c>
      <c r="B10" s="53">
        <v>44.92</v>
      </c>
      <c r="C10" s="54"/>
      <c r="D10" s="54"/>
      <c r="E10" s="54"/>
      <c r="F10" s="55"/>
      <c r="G10" s="2"/>
      <c r="H10" s="2"/>
      <c r="I10" s="1" t="s">
        <v>1</v>
      </c>
      <c r="J10" s="14">
        <f>INT(1.65847*((59.0029-B10)^2)+0.98094)</f>
        <v>329</v>
      </c>
      <c r="K10" s="39">
        <f>INT(1.7249*((59-B10)^2)+0)</f>
        <v>341</v>
      </c>
      <c r="M10" s="43">
        <v>300</v>
      </c>
      <c r="N10" s="53">
        <v>36.8</v>
      </c>
      <c r="O10" s="54"/>
      <c r="P10" s="54"/>
      <c r="Q10" s="54"/>
      <c r="R10" s="55"/>
      <c r="S10" s="42"/>
      <c r="T10" s="2"/>
      <c r="U10" s="11" t="s">
        <v>1</v>
      </c>
      <c r="V10" s="14">
        <f>INT(0.46566*((86-N10)^2)+0)</f>
        <v>1127</v>
      </c>
      <c r="W10" s="39">
        <f>INT(0.512*((86-N10)^2)+0)</f>
        <v>1239</v>
      </c>
    </row>
    <row r="11" spans="1:23" ht="12.75">
      <c r="A11" s="38">
        <v>400</v>
      </c>
      <c r="B11" s="3">
        <v>1</v>
      </c>
      <c r="C11" s="17" t="s">
        <v>2</v>
      </c>
      <c r="D11" s="3">
        <v>1</v>
      </c>
      <c r="E11" s="17" t="s">
        <v>3</v>
      </c>
      <c r="F11" s="3">
        <v>0</v>
      </c>
      <c r="G11" s="4">
        <f aca="true" t="shared" si="0" ref="G11:G21">((B11*60)*100)+(100*D11)+F11</f>
        <v>6100</v>
      </c>
      <c r="H11" s="4">
        <f aca="true" t="shared" si="1" ref="H11:H21">(60*B11)+(D11)+(F11/100)</f>
        <v>61</v>
      </c>
      <c r="I11" s="1" t="s">
        <v>5</v>
      </c>
      <c r="J11" s="14">
        <f>INT(0.8582*((82-H11)^2)+0)</f>
        <v>378</v>
      </c>
      <c r="K11" s="39">
        <f>INT(0.9121*((82-H11)^2)+0)</f>
        <v>402</v>
      </c>
      <c r="M11" s="38">
        <v>400</v>
      </c>
      <c r="N11" s="3">
        <v>1</v>
      </c>
      <c r="O11" s="17" t="s">
        <v>2</v>
      </c>
      <c r="P11" s="3">
        <v>1</v>
      </c>
      <c r="Q11" s="17" t="s">
        <v>3</v>
      </c>
      <c r="R11" s="3">
        <v>0</v>
      </c>
      <c r="S11" s="4">
        <f aca="true" t="shared" si="2" ref="S11:S21">((N11*60)*100)+(100*P11)+R11</f>
        <v>6100</v>
      </c>
      <c r="T11" s="4">
        <f aca="true" t="shared" si="3" ref="T11:T21">(60*N11)+(P11)+(R11/100)</f>
        <v>61</v>
      </c>
      <c r="U11" s="1" t="s">
        <v>5</v>
      </c>
      <c r="V11" s="14">
        <f>INT(0.2453*((120-T11)^2)+0)</f>
        <v>853</v>
      </c>
      <c r="W11" s="39">
        <f>INT(0.2533*((120-T11)^2)+0)</f>
        <v>881</v>
      </c>
    </row>
    <row r="12" spans="1:23" ht="12.75">
      <c r="A12" s="38">
        <v>500</v>
      </c>
      <c r="B12" s="3">
        <v>1</v>
      </c>
      <c r="C12" s="17"/>
      <c r="D12" s="3">
        <v>22</v>
      </c>
      <c r="E12" s="17"/>
      <c r="F12" s="3">
        <v>0</v>
      </c>
      <c r="G12" s="4">
        <f t="shared" si="0"/>
        <v>8200</v>
      </c>
      <c r="H12" s="4">
        <f t="shared" si="1"/>
        <v>82</v>
      </c>
      <c r="I12" s="1" t="s">
        <v>5</v>
      </c>
      <c r="J12" s="14"/>
      <c r="K12" s="39">
        <f>INT(0.53418*((108-H12)^2)+0)</f>
        <v>361</v>
      </c>
      <c r="M12" s="38">
        <v>500</v>
      </c>
      <c r="N12" s="3">
        <v>1</v>
      </c>
      <c r="O12" s="17" t="s">
        <v>2</v>
      </c>
      <c r="P12" s="3">
        <v>33</v>
      </c>
      <c r="Q12" s="17" t="s">
        <v>3</v>
      </c>
      <c r="R12" s="3">
        <v>4</v>
      </c>
      <c r="S12" s="4">
        <f t="shared" si="2"/>
        <v>9304</v>
      </c>
      <c r="T12" s="4">
        <f t="shared" si="3"/>
        <v>93.04</v>
      </c>
      <c r="U12" s="1" t="s">
        <v>5</v>
      </c>
      <c r="V12" s="44"/>
      <c r="W12" s="39">
        <f>INT(0.15851*((156-T12)^2)+0)</f>
        <v>628</v>
      </c>
    </row>
    <row r="13" spans="1:23" ht="12.75">
      <c r="A13" s="38">
        <v>600</v>
      </c>
      <c r="B13" s="3">
        <v>1</v>
      </c>
      <c r="C13" s="17" t="s">
        <v>2</v>
      </c>
      <c r="D13" s="3">
        <v>40</v>
      </c>
      <c r="E13" s="17" t="s">
        <v>3</v>
      </c>
      <c r="F13" s="3">
        <v>0</v>
      </c>
      <c r="G13" s="4">
        <f t="shared" si="0"/>
        <v>10000</v>
      </c>
      <c r="H13" s="4">
        <f t="shared" si="1"/>
        <v>100</v>
      </c>
      <c r="I13" s="1" t="s">
        <v>5</v>
      </c>
      <c r="J13" s="14">
        <f>INT(0.34042*((133-H13)^2)+0)</f>
        <v>370</v>
      </c>
      <c r="K13" s="39"/>
      <c r="M13" s="38">
        <v>600</v>
      </c>
      <c r="N13" s="3">
        <v>2</v>
      </c>
      <c r="O13" s="17" t="s">
        <v>2</v>
      </c>
      <c r="P13" s="3">
        <v>2</v>
      </c>
      <c r="Q13" s="17" t="s">
        <v>3</v>
      </c>
      <c r="R13" s="3">
        <v>1</v>
      </c>
      <c r="S13" s="4">
        <f t="shared" si="2"/>
        <v>12201</v>
      </c>
      <c r="T13" s="4">
        <f t="shared" si="3"/>
        <v>122.01</v>
      </c>
      <c r="U13" s="1" t="s">
        <v>5</v>
      </c>
      <c r="V13" s="15">
        <f>INT(0.11295*((185-T13)^2)+0)</f>
        <v>448</v>
      </c>
      <c r="W13" s="39"/>
    </row>
    <row r="14" spans="1:23" ht="12.75">
      <c r="A14" s="38">
        <v>800</v>
      </c>
      <c r="B14" s="3">
        <v>2</v>
      </c>
      <c r="C14" s="17" t="s">
        <v>2</v>
      </c>
      <c r="D14" s="3">
        <v>9</v>
      </c>
      <c r="E14" s="17" t="s">
        <v>3</v>
      </c>
      <c r="F14" s="3">
        <v>0</v>
      </c>
      <c r="G14" s="4">
        <f t="shared" si="0"/>
        <v>12900</v>
      </c>
      <c r="H14" s="4">
        <f t="shared" si="1"/>
        <v>129</v>
      </c>
      <c r="I14" s="1" t="s">
        <v>5</v>
      </c>
      <c r="J14" s="14">
        <f>INT(0.18778*((184-H14)^2)+0)</f>
        <v>568</v>
      </c>
      <c r="K14" s="39">
        <f>INT(0.199*((184-H14)^2)+0)</f>
        <v>601</v>
      </c>
      <c r="M14" s="38">
        <v>800</v>
      </c>
      <c r="N14" s="3">
        <v>2</v>
      </c>
      <c r="O14" s="17" t="s">
        <v>2</v>
      </c>
      <c r="P14" s="3">
        <v>45</v>
      </c>
      <c r="Q14" s="17" t="s">
        <v>3</v>
      </c>
      <c r="R14" s="3">
        <v>2</v>
      </c>
      <c r="S14" s="4">
        <f t="shared" si="2"/>
        <v>16502</v>
      </c>
      <c r="T14" s="4">
        <f t="shared" si="3"/>
        <v>165.02</v>
      </c>
      <c r="U14" s="1" t="s">
        <v>5</v>
      </c>
      <c r="V14" s="14">
        <f>INT(0.06826*((250-T14)^2)+0)</f>
        <v>492</v>
      </c>
      <c r="W14" s="39">
        <f>INT(0.0705*((250-T14)^2)+0)</f>
        <v>509</v>
      </c>
    </row>
    <row r="15" spans="1:23" ht="12.75">
      <c r="A15" s="38">
        <v>1000</v>
      </c>
      <c r="B15" s="3">
        <v>3</v>
      </c>
      <c r="C15" s="17" t="s">
        <v>2</v>
      </c>
      <c r="D15" s="3">
        <v>12</v>
      </c>
      <c r="E15" s="17" t="s">
        <v>3</v>
      </c>
      <c r="F15" s="3">
        <v>50</v>
      </c>
      <c r="G15" s="4">
        <f t="shared" si="0"/>
        <v>19250</v>
      </c>
      <c r="H15" s="4">
        <f t="shared" si="1"/>
        <v>192.5</v>
      </c>
      <c r="I15" s="1" t="s">
        <v>5</v>
      </c>
      <c r="J15" s="14">
        <f>INT(0.09962*((245-H15)^2)+0)</f>
        <v>274</v>
      </c>
      <c r="K15" s="39">
        <f>INT(0.1042*((245-H15)^2)+0)</f>
        <v>287</v>
      </c>
      <c r="M15" s="38">
        <v>1000</v>
      </c>
      <c r="N15" s="3">
        <v>3</v>
      </c>
      <c r="O15" s="17" t="s">
        <v>2</v>
      </c>
      <c r="P15" s="3">
        <v>20</v>
      </c>
      <c r="Q15" s="17" t="s">
        <v>3</v>
      </c>
      <c r="R15" s="3">
        <v>3</v>
      </c>
      <c r="S15" s="4">
        <f t="shared" si="2"/>
        <v>20003</v>
      </c>
      <c r="T15" s="4">
        <f t="shared" si="3"/>
        <v>200.03</v>
      </c>
      <c r="U15" s="1" t="s">
        <v>5</v>
      </c>
      <c r="V15" s="14">
        <f>INT(0.03885*((330-T15)^2)+0)</f>
        <v>656</v>
      </c>
      <c r="W15" s="39">
        <f>INT(0.04023*((330-T15)^2)+0)</f>
        <v>679</v>
      </c>
    </row>
    <row r="16" spans="1:23" ht="12.75">
      <c r="A16" s="38">
        <v>1500</v>
      </c>
      <c r="B16" s="3">
        <v>5</v>
      </c>
      <c r="C16" s="17" t="s">
        <v>2</v>
      </c>
      <c r="D16" s="3">
        <v>1</v>
      </c>
      <c r="E16" s="17" t="s">
        <v>3</v>
      </c>
      <c r="F16" s="3">
        <v>50</v>
      </c>
      <c r="G16" s="4">
        <f t="shared" si="0"/>
        <v>30150</v>
      </c>
      <c r="H16" s="4">
        <f t="shared" si="1"/>
        <v>301.5</v>
      </c>
      <c r="I16" s="1" t="s">
        <v>5</v>
      </c>
      <c r="J16" s="14">
        <f>INT(0.04066*((385-H16)^2)+0)</f>
        <v>283</v>
      </c>
      <c r="K16" s="39">
        <f>INT(0.04272*((385-H16)^2)+0)</f>
        <v>297</v>
      </c>
      <c r="M16" s="38">
        <v>1500</v>
      </c>
      <c r="N16" s="3">
        <v>4</v>
      </c>
      <c r="O16" s="17" t="s">
        <v>2</v>
      </c>
      <c r="P16" s="3">
        <v>5</v>
      </c>
      <c r="Q16" s="17" t="s">
        <v>3</v>
      </c>
      <c r="R16" s="3">
        <v>4</v>
      </c>
      <c r="S16" s="4">
        <f t="shared" si="2"/>
        <v>24504</v>
      </c>
      <c r="T16" s="4">
        <f t="shared" si="3"/>
        <v>245.04</v>
      </c>
      <c r="U16" s="1" t="s">
        <v>5</v>
      </c>
      <c r="V16" s="14">
        <f>INT(0.013457*((540-T16)^2)+0)</f>
        <v>1170</v>
      </c>
      <c r="W16" s="39">
        <f>INT(0.01382*((540-T16)^2)+0)</f>
        <v>1202</v>
      </c>
    </row>
    <row r="17" spans="1:23" ht="12.75">
      <c r="A17" s="38" t="s">
        <v>35</v>
      </c>
      <c r="B17" s="3">
        <v>5</v>
      </c>
      <c r="C17" s="17" t="s">
        <v>2</v>
      </c>
      <c r="D17" s="3">
        <v>26</v>
      </c>
      <c r="E17" s="17" t="s">
        <v>3</v>
      </c>
      <c r="F17" s="3">
        <v>40</v>
      </c>
      <c r="G17" s="4">
        <f t="shared" si="0"/>
        <v>32640</v>
      </c>
      <c r="H17" s="4">
        <f t="shared" si="1"/>
        <v>326.4</v>
      </c>
      <c r="I17" s="1" t="s">
        <v>5</v>
      </c>
      <c r="J17" s="14">
        <f>INT(0.03511*((415-H17)^2)+0)</f>
        <v>275</v>
      </c>
      <c r="K17" s="39">
        <f>INT(0.03622*((415-H17)^2)+0)</f>
        <v>284</v>
      </c>
      <c r="M17" s="38" t="s">
        <v>35</v>
      </c>
      <c r="N17" s="3">
        <v>4</v>
      </c>
      <c r="O17" s="17" t="s">
        <v>2</v>
      </c>
      <c r="P17" s="3">
        <v>55</v>
      </c>
      <c r="Q17" s="17" t="s">
        <v>3</v>
      </c>
      <c r="R17" s="3">
        <v>5</v>
      </c>
      <c r="S17" s="4">
        <f t="shared" si="2"/>
        <v>29505</v>
      </c>
      <c r="T17" s="4">
        <f t="shared" si="3"/>
        <v>295.05</v>
      </c>
      <c r="U17" s="1" t="s">
        <v>5</v>
      </c>
      <c r="V17" s="14">
        <f>INT(0.01199*((580-T17)^2)+0)</f>
        <v>973</v>
      </c>
      <c r="W17" s="39">
        <f>INT(0.01214*((580-T17)^2)+0)</f>
        <v>985</v>
      </c>
    </row>
    <row r="18" spans="1:23" ht="12.75">
      <c r="A18" s="38">
        <v>2000</v>
      </c>
      <c r="B18" s="3">
        <v>5</v>
      </c>
      <c r="C18" s="17" t="s">
        <v>2</v>
      </c>
      <c r="D18" s="3">
        <v>32</v>
      </c>
      <c r="E18" s="17" t="s">
        <v>3</v>
      </c>
      <c r="F18" s="3">
        <v>0</v>
      </c>
      <c r="G18" s="4">
        <f t="shared" si="0"/>
        <v>33200</v>
      </c>
      <c r="H18" s="4">
        <f t="shared" si="1"/>
        <v>332</v>
      </c>
      <c r="I18" s="1" t="s">
        <v>5</v>
      </c>
      <c r="J18" s="14">
        <f>INT(0.02199*((528-H18)^2)+0)</f>
        <v>844</v>
      </c>
      <c r="K18" s="39">
        <f>INT(0.0228*((528-H18)^2)+0)</f>
        <v>875</v>
      </c>
      <c r="M18" s="38">
        <v>2000</v>
      </c>
      <c r="N18" s="3">
        <v>6</v>
      </c>
      <c r="O18" s="17" t="s">
        <v>2</v>
      </c>
      <c r="P18" s="3">
        <v>6</v>
      </c>
      <c r="Q18" s="17" t="s">
        <v>3</v>
      </c>
      <c r="R18" s="3">
        <v>5</v>
      </c>
      <c r="S18" s="4">
        <f t="shared" si="2"/>
        <v>36605</v>
      </c>
      <c r="T18" s="4">
        <f t="shared" si="3"/>
        <v>366.05</v>
      </c>
      <c r="U18" s="1" t="s">
        <v>5</v>
      </c>
      <c r="V18" s="14">
        <f>INT(0.007019*((750-T18)^2)+0)</f>
        <v>1034</v>
      </c>
      <c r="W18" s="39">
        <f>INT(0.007183*((750-T18)^2)+0)</f>
        <v>1058</v>
      </c>
    </row>
    <row r="19" spans="1:23" ht="12.75">
      <c r="A19" s="38">
        <v>3000</v>
      </c>
      <c r="B19" s="3">
        <v>9</v>
      </c>
      <c r="C19" s="17" t="s">
        <v>2</v>
      </c>
      <c r="D19" s="3">
        <v>55</v>
      </c>
      <c r="E19" s="17" t="s">
        <v>3</v>
      </c>
      <c r="F19" s="3">
        <v>0</v>
      </c>
      <c r="G19" s="4">
        <f t="shared" si="0"/>
        <v>59500</v>
      </c>
      <c r="H19" s="4">
        <f t="shared" si="1"/>
        <v>595</v>
      </c>
      <c r="I19" s="1" t="s">
        <v>5</v>
      </c>
      <c r="J19" s="14">
        <f>INT(0.008189*((840-H19)^2)+0)</f>
        <v>491</v>
      </c>
      <c r="K19" s="39">
        <f>INT(0.008493*((840-H19)^2)+0)</f>
        <v>509</v>
      </c>
      <c r="M19" s="38">
        <v>3000</v>
      </c>
      <c r="N19" s="3">
        <v>9</v>
      </c>
      <c r="O19" s="17" t="s">
        <v>2</v>
      </c>
      <c r="P19" s="3">
        <v>7</v>
      </c>
      <c r="Q19" s="17" t="s">
        <v>3</v>
      </c>
      <c r="R19" s="3">
        <v>6</v>
      </c>
      <c r="S19" s="4">
        <f t="shared" si="2"/>
        <v>54706</v>
      </c>
      <c r="T19" s="4">
        <f t="shared" si="3"/>
        <v>547.06</v>
      </c>
      <c r="U19" s="1" t="s">
        <v>5</v>
      </c>
      <c r="V19" s="14">
        <f>INT(0.002568*((1200-T19)^2)+0)</f>
        <v>1094</v>
      </c>
      <c r="W19" s="39">
        <f>INT(0.002637*((1200-T19)^2)+0)</f>
        <v>1124</v>
      </c>
    </row>
    <row r="20" spans="1:23" ht="12.75">
      <c r="A20" s="38">
        <v>5000</v>
      </c>
      <c r="B20" s="3">
        <v>13</v>
      </c>
      <c r="C20" s="17"/>
      <c r="D20" s="3">
        <v>56</v>
      </c>
      <c r="E20" s="17"/>
      <c r="F20" s="3">
        <v>88</v>
      </c>
      <c r="G20" s="4">
        <f t="shared" si="0"/>
        <v>83688</v>
      </c>
      <c r="H20" s="4">
        <f t="shared" si="1"/>
        <v>836.88</v>
      </c>
      <c r="I20" s="1" t="s">
        <v>5</v>
      </c>
      <c r="J20" s="14">
        <f>INT(0.0026554*((1460-H20)^2)+0)</f>
        <v>1031</v>
      </c>
      <c r="K20" s="39">
        <f>INT(0.0028*((1460-H20)^2)+0)</f>
        <v>1087</v>
      </c>
      <c r="M20" s="38">
        <v>5000</v>
      </c>
      <c r="N20" s="3">
        <v>19</v>
      </c>
      <c r="O20" s="17" t="s">
        <v>2</v>
      </c>
      <c r="P20" s="3">
        <v>8</v>
      </c>
      <c r="Q20" s="17" t="s">
        <v>3</v>
      </c>
      <c r="R20" s="3">
        <v>7</v>
      </c>
      <c r="S20" s="4">
        <f t="shared" si="2"/>
        <v>114807</v>
      </c>
      <c r="T20" s="4">
        <f t="shared" si="3"/>
        <v>1148.07</v>
      </c>
      <c r="U20" s="1" t="s">
        <v>5</v>
      </c>
      <c r="V20" s="14">
        <f>INT(0.000818*((2100-T20)^2)+0)</f>
        <v>741</v>
      </c>
      <c r="W20" s="39">
        <f>INT(0.000868*((2100-T20)^2)+0)</f>
        <v>786</v>
      </c>
    </row>
    <row r="21" spans="1:23" ht="12.75">
      <c r="A21" s="38">
        <v>10000</v>
      </c>
      <c r="B21" s="3">
        <v>29</v>
      </c>
      <c r="C21" s="17" t="s">
        <v>2</v>
      </c>
      <c r="D21" s="3">
        <v>5</v>
      </c>
      <c r="E21" s="17" t="s">
        <v>3</v>
      </c>
      <c r="F21" s="3">
        <v>0</v>
      </c>
      <c r="G21" s="4">
        <f t="shared" si="0"/>
        <v>174500</v>
      </c>
      <c r="H21" s="4">
        <f t="shared" si="1"/>
        <v>1745</v>
      </c>
      <c r="I21" s="1" t="s">
        <v>5</v>
      </c>
      <c r="J21" s="14">
        <f>INT(0.000557*((3120-H21)^2)+0)</f>
        <v>1053</v>
      </c>
      <c r="K21" s="39"/>
      <c r="M21" s="38">
        <v>10000</v>
      </c>
      <c r="N21" s="3">
        <v>37</v>
      </c>
      <c r="O21" s="17" t="s">
        <v>2</v>
      </c>
      <c r="P21" s="3">
        <v>9</v>
      </c>
      <c r="Q21" s="17" t="s">
        <v>3</v>
      </c>
      <c r="R21" s="3">
        <v>88</v>
      </c>
      <c r="S21" s="4">
        <f t="shared" si="2"/>
        <v>222988</v>
      </c>
      <c r="T21" s="4">
        <f t="shared" si="3"/>
        <v>2229.88</v>
      </c>
      <c r="U21" s="1" t="s">
        <v>5</v>
      </c>
      <c r="V21" s="14">
        <f>INT(0.000174*((4500-T21)^2)+0)</f>
        <v>896</v>
      </c>
      <c r="W21" s="39"/>
    </row>
    <row r="22" spans="1:23" ht="12.75">
      <c r="A22" s="38" t="s">
        <v>8</v>
      </c>
      <c r="B22" s="53">
        <v>8.16</v>
      </c>
      <c r="C22" s="54"/>
      <c r="D22" s="54"/>
      <c r="E22" s="54"/>
      <c r="F22" s="55"/>
      <c r="G22" s="4"/>
      <c r="H22" s="4"/>
      <c r="I22" s="1" t="s">
        <v>1</v>
      </c>
      <c r="J22" s="14"/>
      <c r="K22" s="39">
        <f>INT(25.822*((13.2-B22)^2)+0)</f>
        <v>655</v>
      </c>
      <c r="M22" s="43" t="s">
        <v>8</v>
      </c>
      <c r="N22" s="53">
        <v>8.22</v>
      </c>
      <c r="O22" s="54"/>
      <c r="P22" s="54"/>
      <c r="Q22" s="54"/>
      <c r="R22" s="55"/>
      <c r="S22" s="4"/>
      <c r="T22" s="4"/>
      <c r="U22" s="12" t="s">
        <v>1</v>
      </c>
      <c r="V22" s="14"/>
      <c r="W22" s="39">
        <f>INT(13.636*((16.1-N22)^2)+0)</f>
        <v>846</v>
      </c>
    </row>
    <row r="23" spans="1:23" ht="12.75">
      <c r="A23" s="38" t="s">
        <v>9</v>
      </c>
      <c r="B23" s="53">
        <v>9.59</v>
      </c>
      <c r="C23" s="54"/>
      <c r="D23" s="54"/>
      <c r="E23" s="54"/>
      <c r="F23" s="55"/>
      <c r="G23" s="4"/>
      <c r="H23" s="4"/>
      <c r="I23" s="1" t="s">
        <v>1</v>
      </c>
      <c r="J23" s="14"/>
      <c r="K23" s="39">
        <f>INT(18.014*((15.7-B23)^2)+0)</f>
        <v>672</v>
      </c>
      <c r="M23" s="43" t="s">
        <v>23</v>
      </c>
      <c r="N23" s="53">
        <v>9.33</v>
      </c>
      <c r="O23" s="54"/>
      <c r="P23" s="54"/>
      <c r="Q23" s="54"/>
      <c r="R23" s="55"/>
      <c r="S23" s="4"/>
      <c r="T23" s="4"/>
      <c r="U23" s="12" t="s">
        <v>1</v>
      </c>
      <c r="V23" s="14"/>
      <c r="W23" s="39">
        <f>INT(11.361*((16.1-N23)^2)+0)</f>
        <v>520</v>
      </c>
    </row>
    <row r="24" spans="1:23" ht="12.75">
      <c r="A24" s="38" t="s">
        <v>12</v>
      </c>
      <c r="B24" s="53">
        <v>14</v>
      </c>
      <c r="C24" s="54"/>
      <c r="D24" s="54"/>
      <c r="E24" s="54"/>
      <c r="F24" s="55"/>
      <c r="G24" s="4"/>
      <c r="H24" s="4"/>
      <c r="I24" s="1" t="s">
        <v>1</v>
      </c>
      <c r="J24" s="14">
        <f>INT(5.58*((28-B24)^2)+0)</f>
        <v>1093</v>
      </c>
      <c r="K24" s="39"/>
      <c r="M24" s="43" t="s">
        <v>9</v>
      </c>
      <c r="N24" s="53">
        <v>10.4</v>
      </c>
      <c r="O24" s="54"/>
      <c r="P24" s="54"/>
      <c r="Q24" s="54"/>
      <c r="R24" s="55"/>
      <c r="S24" s="4"/>
      <c r="T24" s="4"/>
      <c r="U24" s="6" t="s">
        <v>1</v>
      </c>
      <c r="V24" s="14"/>
      <c r="W24" s="39">
        <f>INT(9.466*((19.2-N24)^2)+0)</f>
        <v>733</v>
      </c>
    </row>
    <row r="25" spans="1:23" ht="12.75">
      <c r="A25" s="38" t="s">
        <v>21</v>
      </c>
      <c r="B25" s="3">
        <v>0</v>
      </c>
      <c r="C25" s="17" t="s">
        <v>2</v>
      </c>
      <c r="D25" s="3">
        <v>56</v>
      </c>
      <c r="E25" s="17" t="s">
        <v>3</v>
      </c>
      <c r="F25" s="3">
        <v>0</v>
      </c>
      <c r="G25" s="4">
        <f>((B25*60)*100)+(100*D25)+F25</f>
        <v>5600</v>
      </c>
      <c r="H25" s="4">
        <f>(60*B25)+(D25)+(F25/100)</f>
        <v>56</v>
      </c>
      <c r="I25" s="1" t="s">
        <v>5</v>
      </c>
      <c r="J25" s="14">
        <f>INT(0.795*((80-H25)^2)+0)</f>
        <v>457</v>
      </c>
      <c r="K25" s="39"/>
      <c r="M25" s="43" t="s">
        <v>10</v>
      </c>
      <c r="N25" s="53">
        <v>11.3</v>
      </c>
      <c r="O25" s="54"/>
      <c r="P25" s="54"/>
      <c r="Q25" s="54"/>
      <c r="R25" s="55"/>
      <c r="S25" s="4"/>
      <c r="T25" s="4"/>
      <c r="U25" s="6" t="s">
        <v>1</v>
      </c>
      <c r="V25" s="14"/>
      <c r="W25" s="39">
        <f>INT(9.466*((19.2-N25)^2)+0)</f>
        <v>590</v>
      </c>
    </row>
    <row r="26" spans="1:23" ht="12.75">
      <c r="A26" s="38" t="s">
        <v>13</v>
      </c>
      <c r="B26" s="3">
        <v>0</v>
      </c>
      <c r="C26" s="17" t="s">
        <v>2</v>
      </c>
      <c r="D26" s="3">
        <v>57</v>
      </c>
      <c r="E26" s="17" t="s">
        <v>3</v>
      </c>
      <c r="F26" s="3">
        <v>0</v>
      </c>
      <c r="G26" s="4">
        <f>((B26*60)*100)+(100*D26)+F26</f>
        <v>5700</v>
      </c>
      <c r="H26" s="4">
        <f>(60*B26)+(D26)+(F26/100)</f>
        <v>57</v>
      </c>
      <c r="I26" s="1" t="s">
        <v>5</v>
      </c>
      <c r="J26" s="14">
        <f>INT(0.4192*((102-H26)^2)+0)</f>
        <v>848</v>
      </c>
      <c r="K26" s="39"/>
      <c r="M26" s="43" t="s">
        <v>11</v>
      </c>
      <c r="N26" s="53">
        <v>16.55</v>
      </c>
      <c r="O26" s="54"/>
      <c r="P26" s="54"/>
      <c r="Q26" s="54"/>
      <c r="R26" s="55"/>
      <c r="S26" s="4"/>
      <c r="T26" s="4"/>
      <c r="U26" s="11" t="s">
        <v>1</v>
      </c>
      <c r="V26" s="14">
        <f>INT(3.4273*((31.4-N26)^2)+0)</f>
        <v>755</v>
      </c>
      <c r="W26" s="39"/>
    </row>
    <row r="27" spans="1:23" ht="12.75">
      <c r="A27" s="38" t="s">
        <v>4</v>
      </c>
      <c r="B27" s="3">
        <v>4</v>
      </c>
      <c r="C27" s="17" t="s">
        <v>2</v>
      </c>
      <c r="D27" s="3">
        <v>58</v>
      </c>
      <c r="E27" s="17" t="s">
        <v>3</v>
      </c>
      <c r="F27" s="3">
        <v>0</v>
      </c>
      <c r="G27" s="4">
        <f>((B27*60)*100)+(100*D27)+F27</f>
        <v>29800</v>
      </c>
      <c r="H27" s="4">
        <f>(60*B27)+(D27)+(F27/100)</f>
        <v>298</v>
      </c>
      <c r="I27" s="1" t="s">
        <v>5</v>
      </c>
      <c r="J27" s="14">
        <f>INT(0.0209*((472-H27)^2)+0)</f>
        <v>632</v>
      </c>
      <c r="K27" s="39"/>
      <c r="M27" s="43" t="s">
        <v>24</v>
      </c>
      <c r="N27" s="53">
        <v>58</v>
      </c>
      <c r="O27" s="54"/>
      <c r="P27" s="54"/>
      <c r="Q27" s="54"/>
      <c r="R27" s="55"/>
      <c r="S27" s="4"/>
      <c r="T27" s="4"/>
      <c r="U27" s="11" t="s">
        <v>1</v>
      </c>
      <c r="V27" s="14">
        <f>INT(0.257*((112-N27)^2)+0)</f>
        <v>749</v>
      </c>
      <c r="W27" s="39"/>
    </row>
    <row r="28" spans="1:23" ht="12.75">
      <c r="A28" s="38" t="s">
        <v>6</v>
      </c>
      <c r="B28" s="3">
        <v>6</v>
      </c>
      <c r="C28" s="17" t="s">
        <v>2</v>
      </c>
      <c r="D28" s="3">
        <v>55</v>
      </c>
      <c r="E28" s="17" t="s">
        <v>3</v>
      </c>
      <c r="F28" s="3">
        <v>0</v>
      </c>
      <c r="G28" s="4">
        <f>((B28*60)*100)+(100*D28)+F28</f>
        <v>41500</v>
      </c>
      <c r="H28" s="4">
        <f>(60*B28)+(D28)+(F28/100)</f>
        <v>415</v>
      </c>
      <c r="I28" s="1" t="s">
        <v>5</v>
      </c>
      <c r="J28" s="14">
        <f>INT(0.01257*((630-H28)^2)+0)</f>
        <v>581</v>
      </c>
      <c r="K28" s="39"/>
      <c r="M28" s="43" t="s">
        <v>13</v>
      </c>
      <c r="N28" s="3">
        <v>1</v>
      </c>
      <c r="O28" s="19" t="s">
        <v>2</v>
      </c>
      <c r="P28" s="3">
        <v>4</v>
      </c>
      <c r="Q28" s="19" t="s">
        <v>3</v>
      </c>
      <c r="R28" s="3">
        <v>0</v>
      </c>
      <c r="S28" s="4">
        <f>((N28*60)*100)+(100*P28)+R28</f>
        <v>6400</v>
      </c>
      <c r="T28" s="4">
        <f>(60*N28)+(P28)+(R28/100)</f>
        <v>64</v>
      </c>
      <c r="U28" s="5" t="s">
        <v>5</v>
      </c>
      <c r="V28" s="14">
        <f>INT(0.1761*((137-T28)^2)+0)</f>
        <v>938</v>
      </c>
      <c r="W28" s="39"/>
    </row>
    <row r="29" spans="1:23" ht="12.75">
      <c r="A29" s="38" t="s">
        <v>7</v>
      </c>
      <c r="B29" s="3">
        <v>10</v>
      </c>
      <c r="C29" s="17" t="s">
        <v>2</v>
      </c>
      <c r="D29" s="3">
        <v>26</v>
      </c>
      <c r="E29" s="17" t="s">
        <v>3</v>
      </c>
      <c r="F29" s="3">
        <v>11</v>
      </c>
      <c r="G29" s="4">
        <f>((B29*60)*100)+(100*D29)+F29</f>
        <v>62611</v>
      </c>
      <c r="H29" s="4">
        <f>(60*B29)+(D29)+(F29/100)</f>
        <v>626.11</v>
      </c>
      <c r="I29" s="1" t="s">
        <v>5</v>
      </c>
      <c r="J29" s="14">
        <f>INT(0.00376*((1060-H29)^2)+0)</f>
        <v>707</v>
      </c>
      <c r="K29" s="39"/>
      <c r="M29" s="43" t="s">
        <v>6</v>
      </c>
      <c r="N29" s="3">
        <v>6</v>
      </c>
      <c r="O29" s="19" t="s">
        <v>2</v>
      </c>
      <c r="P29" s="3">
        <v>22</v>
      </c>
      <c r="Q29" s="19" t="s">
        <v>3</v>
      </c>
      <c r="R29" s="3">
        <v>5</v>
      </c>
      <c r="S29" s="4">
        <f>((N29*60)*100)+(100*P29)+R29</f>
        <v>38205</v>
      </c>
      <c r="T29" s="4">
        <f>(60*N29)+(P29)+(R29/100)</f>
        <v>382.05</v>
      </c>
      <c r="U29" s="5" t="s">
        <v>5</v>
      </c>
      <c r="V29" s="14">
        <f>INT(0.005165*((860-T29)^2)+0)</f>
        <v>1179</v>
      </c>
      <c r="W29" s="39"/>
    </row>
    <row r="30" spans="1:23" ht="12.75">
      <c r="A30" s="38" t="s">
        <v>14</v>
      </c>
      <c r="B30" s="53">
        <v>46</v>
      </c>
      <c r="C30" s="54"/>
      <c r="D30" s="54"/>
      <c r="E30" s="54"/>
      <c r="F30" s="55"/>
      <c r="G30" s="4"/>
      <c r="H30" s="4"/>
      <c r="I30" s="1" t="s">
        <v>1</v>
      </c>
      <c r="J30" s="14">
        <f>INT(1.2019*((70-B30)^2)+0)</f>
        <v>692</v>
      </c>
      <c r="K30" s="39"/>
      <c r="M30" s="43" t="s">
        <v>14</v>
      </c>
      <c r="N30" s="53">
        <v>53.1</v>
      </c>
      <c r="O30" s="54"/>
      <c r="P30" s="54"/>
      <c r="Q30" s="54"/>
      <c r="R30" s="55"/>
      <c r="S30" s="4"/>
      <c r="T30" s="4"/>
      <c r="U30" s="13" t="s">
        <v>1</v>
      </c>
      <c r="V30" s="14">
        <f>INT(0.3954*((98-N30)^2)+0)</f>
        <v>797</v>
      </c>
      <c r="W30" s="39"/>
    </row>
    <row r="31" spans="1:23" ht="12.75">
      <c r="A31" s="38" t="s">
        <v>18</v>
      </c>
      <c r="B31" s="3">
        <v>1</v>
      </c>
      <c r="C31" s="17" t="s">
        <v>2</v>
      </c>
      <c r="D31" s="3">
        <v>44</v>
      </c>
      <c r="E31" s="17" t="s">
        <v>3</v>
      </c>
      <c r="F31" s="3">
        <v>21</v>
      </c>
      <c r="G31" s="4"/>
      <c r="H31" s="4">
        <f>(60*B31)+(D31)+(F31/100)</f>
        <v>104.21</v>
      </c>
      <c r="I31" s="1" t="s">
        <v>1</v>
      </c>
      <c r="J31" s="14">
        <f>INT(0.29767*((144-H31)^2)+1.02617)</f>
        <v>472</v>
      </c>
      <c r="K31" s="39"/>
      <c r="M31" s="43" t="s">
        <v>18</v>
      </c>
      <c r="N31" s="3">
        <v>1</v>
      </c>
      <c r="O31" s="19" t="s">
        <v>2</v>
      </c>
      <c r="P31" s="3">
        <v>55</v>
      </c>
      <c r="Q31" s="19" t="s">
        <v>3</v>
      </c>
      <c r="R31" s="3">
        <v>0</v>
      </c>
      <c r="S31" s="4">
        <f>((N31*60)*100)+(100*P31)+R31</f>
        <v>11500</v>
      </c>
      <c r="T31" s="4">
        <f>(60*N31)+(P31)+(R31/100)</f>
        <v>115</v>
      </c>
      <c r="U31" s="5" t="s">
        <v>5</v>
      </c>
      <c r="V31" s="14">
        <f>INT(0.08169*((212-T31)^2)+0)</f>
        <v>768</v>
      </c>
      <c r="W31" s="39">
        <f>INT(0.08533*((212-T31)^2)+0)</f>
        <v>802</v>
      </c>
    </row>
    <row r="32" spans="1:23" ht="12.75">
      <c r="A32" s="38" t="s">
        <v>15</v>
      </c>
      <c r="B32" s="3">
        <v>4</v>
      </c>
      <c r="C32" s="17" t="s">
        <v>2</v>
      </c>
      <c r="D32" s="3">
        <v>1</v>
      </c>
      <c r="E32" s="17" t="s">
        <v>3</v>
      </c>
      <c r="F32" s="3">
        <v>22</v>
      </c>
      <c r="G32" s="4">
        <f>((B32*60)*100)+(100*D32)+F32</f>
        <v>24122</v>
      </c>
      <c r="H32" s="4">
        <f>(60*B32)+(D32)+(F32/100)</f>
        <v>241.22</v>
      </c>
      <c r="I32" s="1" t="s">
        <v>5</v>
      </c>
      <c r="J32" s="14">
        <f>INT(0.05404*((328-H32)^2)+1.02617)</f>
        <v>407</v>
      </c>
      <c r="K32" s="39"/>
      <c r="M32" s="43" t="s">
        <v>15</v>
      </c>
      <c r="N32" s="3">
        <v>4</v>
      </c>
      <c r="O32" s="19" t="s">
        <v>2</v>
      </c>
      <c r="P32" s="3">
        <v>0</v>
      </c>
      <c r="Q32" s="19" t="s">
        <v>3</v>
      </c>
      <c r="R32" s="3">
        <v>0</v>
      </c>
      <c r="S32" s="4">
        <f>((N32*60)*100)+(100*P32)+R32</f>
        <v>24000</v>
      </c>
      <c r="T32" s="4">
        <f>(60*N32)+(P32)+(R32/100)</f>
        <v>240</v>
      </c>
      <c r="U32" s="5" t="s">
        <v>5</v>
      </c>
      <c r="V32" s="14">
        <f>INT(0.01562*((480-T32)^2)+0)</f>
        <v>899</v>
      </c>
      <c r="W32" s="39">
        <f>INT(0.01628*((480-T32)^2)+0)</f>
        <v>937</v>
      </c>
    </row>
    <row r="33" spans="1:23" ht="12.75">
      <c r="A33" s="43" t="s">
        <v>34</v>
      </c>
      <c r="B33" s="53">
        <v>1.8</v>
      </c>
      <c r="C33" s="54"/>
      <c r="D33" s="54"/>
      <c r="E33" s="54"/>
      <c r="F33" s="55"/>
      <c r="G33" s="4"/>
      <c r="H33" s="4"/>
      <c r="I33" s="1" t="s">
        <v>16</v>
      </c>
      <c r="J33" s="14">
        <f>INT(39.382*(((B33+10.205)^2)-126.9616))</f>
        <v>675</v>
      </c>
      <c r="K33" s="39"/>
      <c r="M33" s="43" t="s">
        <v>34</v>
      </c>
      <c r="N33" s="53">
        <v>1.6</v>
      </c>
      <c r="O33" s="54"/>
      <c r="P33" s="54"/>
      <c r="Q33" s="54"/>
      <c r="R33" s="55"/>
      <c r="S33" s="42"/>
      <c r="T33" s="4"/>
      <c r="U33" s="12" t="s">
        <v>16</v>
      </c>
      <c r="V33" s="14">
        <f>INT(49*(((N33+9.205)^2)-101.1143))</f>
        <v>766</v>
      </c>
      <c r="W33" s="39"/>
    </row>
    <row r="34" spans="1:23" ht="12.75">
      <c r="A34" s="43" t="s">
        <v>33</v>
      </c>
      <c r="B34" s="53">
        <v>6.29</v>
      </c>
      <c r="C34" s="54"/>
      <c r="D34" s="54"/>
      <c r="E34" s="54"/>
      <c r="F34" s="55"/>
      <c r="G34" s="4"/>
      <c r="H34" s="4"/>
      <c r="I34" s="1" t="s">
        <v>16</v>
      </c>
      <c r="J34" s="14">
        <f>INT(1.821*(((B34+50.005)^2)-2745.744))</f>
        <v>770</v>
      </c>
      <c r="K34" s="39"/>
      <c r="M34" s="43" t="s">
        <v>33</v>
      </c>
      <c r="N34" s="53">
        <v>4.75</v>
      </c>
      <c r="O34" s="54"/>
      <c r="P34" s="54"/>
      <c r="Q34" s="54"/>
      <c r="R34" s="55"/>
      <c r="S34" s="42"/>
      <c r="T34" s="4"/>
      <c r="U34" s="6" t="s">
        <v>16</v>
      </c>
      <c r="V34" s="14">
        <f>INT(2.2943*(((N34+45.005)^2)-2179.317))</f>
        <v>679</v>
      </c>
      <c r="W34" s="39"/>
    </row>
    <row r="35" spans="1:23" ht="12.75">
      <c r="A35" s="43" t="s">
        <v>37</v>
      </c>
      <c r="B35" s="53">
        <v>14.55</v>
      </c>
      <c r="C35" s="54"/>
      <c r="D35" s="54"/>
      <c r="E35" s="54"/>
      <c r="F35" s="55"/>
      <c r="G35" s="4"/>
      <c r="H35" s="4"/>
      <c r="I35" s="1" t="s">
        <v>16</v>
      </c>
      <c r="J35" s="14">
        <f>INT(0.473*(((B35+97.005)^2)-10570.82))</f>
        <v>886</v>
      </c>
      <c r="K35" s="39"/>
      <c r="M35" s="43" t="s">
        <v>37</v>
      </c>
      <c r="N35" s="53">
        <v>12.3</v>
      </c>
      <c r="O35" s="54"/>
      <c r="P35" s="54"/>
      <c r="Q35" s="54"/>
      <c r="R35" s="55"/>
      <c r="S35" s="42"/>
      <c r="T35" s="4"/>
      <c r="U35" s="6" t="s">
        <v>16</v>
      </c>
      <c r="V35" s="14">
        <f>INT(0.5438*(((N35+92.005)^2)-9194.557))</f>
        <v>916</v>
      </c>
      <c r="W35" s="39"/>
    </row>
    <row r="36" spans="1:23" ht="12.75">
      <c r="A36" s="43" t="s">
        <v>32</v>
      </c>
      <c r="B36" s="53">
        <v>5.1</v>
      </c>
      <c r="C36" s="54"/>
      <c r="D36" s="54"/>
      <c r="E36" s="54"/>
      <c r="F36" s="55"/>
      <c r="G36" s="4"/>
      <c r="H36" s="4"/>
      <c r="I36" s="1" t="s">
        <v>16</v>
      </c>
      <c r="J36" s="14">
        <f>INT(1.821*(((B36+50.005)^2)-2745.744))</f>
        <v>529</v>
      </c>
      <c r="K36" s="39"/>
      <c r="M36" s="43" t="s">
        <v>32</v>
      </c>
      <c r="N36" s="53">
        <v>3.9</v>
      </c>
      <c r="O36" s="54"/>
      <c r="P36" s="54"/>
      <c r="Q36" s="54"/>
      <c r="R36" s="55"/>
      <c r="S36" s="42"/>
      <c r="T36" s="4"/>
      <c r="U36" s="6" t="s">
        <v>16</v>
      </c>
      <c r="V36" s="14">
        <f>INT(5.9026*(((N36+28.005)^2)-847.0844))</f>
        <v>1008</v>
      </c>
      <c r="W36" s="39">
        <f>INT(5.9026*(((N36+28.005)^2)-847.0843607))</f>
        <v>1008</v>
      </c>
    </row>
    <row r="37" spans="1:23" ht="12.75">
      <c r="A37" s="43" t="s">
        <v>36</v>
      </c>
      <c r="B37" s="53">
        <v>18.45</v>
      </c>
      <c r="C37" s="54"/>
      <c r="D37" s="54"/>
      <c r="E37" s="54"/>
      <c r="F37" s="55"/>
      <c r="G37" s="4"/>
      <c r="H37" s="4"/>
      <c r="I37" s="1" t="s">
        <v>16</v>
      </c>
      <c r="J37" s="14">
        <f>INT(0.04298*(((B37+681.005)^2)-465332.7))</f>
        <v>1027</v>
      </c>
      <c r="K37" s="39"/>
      <c r="M37" s="43" t="s">
        <v>36</v>
      </c>
      <c r="N37" s="53">
        <v>9.55</v>
      </c>
      <c r="O37" s="54"/>
      <c r="P37" s="54"/>
      <c r="Q37" s="54"/>
      <c r="R37" s="55"/>
      <c r="S37" s="42"/>
      <c r="T37" s="4"/>
      <c r="U37" s="6" t="s">
        <v>16</v>
      </c>
      <c r="V37" s="14">
        <f>INT(0.04631*(((N37+656.005)^2)-431872.2))</f>
        <v>513</v>
      </c>
      <c r="W37" s="39"/>
    </row>
    <row r="38" spans="1:23" ht="12.75">
      <c r="A38" s="43" t="s">
        <v>31</v>
      </c>
      <c r="B38" s="53">
        <v>47</v>
      </c>
      <c r="C38" s="54"/>
      <c r="D38" s="54"/>
      <c r="E38" s="54"/>
      <c r="F38" s="55"/>
      <c r="G38" s="4"/>
      <c r="H38" s="4"/>
      <c r="I38" s="1" t="s">
        <v>16</v>
      </c>
      <c r="J38" s="14">
        <f>INT(0.002454*(((B38+2850.005)^2)-8149959))</f>
        <v>595</v>
      </c>
      <c r="K38" s="39"/>
      <c r="M38" s="43" t="s">
        <v>31</v>
      </c>
      <c r="N38" s="53">
        <v>44</v>
      </c>
      <c r="O38" s="54"/>
      <c r="P38" s="54"/>
      <c r="Q38" s="54"/>
      <c r="R38" s="55"/>
      <c r="S38" s="42"/>
      <c r="T38" s="4"/>
      <c r="U38" s="6" t="s">
        <v>16</v>
      </c>
      <c r="V38" s="14">
        <f>INT(0.004156*(((N38+2190.005)^2)-4812320))</f>
        <v>741</v>
      </c>
      <c r="W38" s="39"/>
    </row>
    <row r="39" spans="1:23" ht="12.75">
      <c r="A39" s="43" t="s">
        <v>30</v>
      </c>
      <c r="B39" s="53">
        <v>46.7</v>
      </c>
      <c r="C39" s="54"/>
      <c r="D39" s="54"/>
      <c r="E39" s="54"/>
      <c r="F39" s="55"/>
      <c r="G39" s="4"/>
      <c r="H39" s="4"/>
      <c r="I39" s="1" t="s">
        <v>16</v>
      </c>
      <c r="J39" s="14">
        <f>INT(0.004233*(((B39+2170.005)^2)-4724781))</f>
        <v>800</v>
      </c>
      <c r="K39" s="39"/>
      <c r="M39" s="43" t="s">
        <v>30</v>
      </c>
      <c r="N39" s="53">
        <v>55</v>
      </c>
      <c r="O39" s="54"/>
      <c r="P39" s="54"/>
      <c r="Q39" s="54"/>
      <c r="R39" s="55"/>
      <c r="S39" s="42"/>
      <c r="T39" s="4"/>
      <c r="U39" s="6" t="s">
        <v>16</v>
      </c>
      <c r="V39" s="14">
        <f>INT(0.00408*(((N39+2210.005)^2)-4901961))</f>
        <v>931</v>
      </c>
      <c r="W39" s="39"/>
    </row>
    <row r="40" spans="1:23" ht="13.5" thickBot="1">
      <c r="A40" s="46" t="s">
        <v>17</v>
      </c>
      <c r="B40" s="56">
        <v>58</v>
      </c>
      <c r="C40" s="57"/>
      <c r="D40" s="57"/>
      <c r="E40" s="57"/>
      <c r="F40" s="58"/>
      <c r="G40" s="33"/>
      <c r="H40" s="33"/>
      <c r="I40" s="48" t="s">
        <v>16</v>
      </c>
      <c r="J40" s="26">
        <f>INT(0.002949*(((B40+2600.005)^2)-6782420))</f>
        <v>833</v>
      </c>
      <c r="K40" s="35"/>
      <c r="M40" s="46" t="s">
        <v>17</v>
      </c>
      <c r="N40" s="56">
        <v>44</v>
      </c>
      <c r="O40" s="57"/>
      <c r="P40" s="57"/>
      <c r="Q40" s="57"/>
      <c r="R40" s="58"/>
      <c r="S40" s="47"/>
      <c r="T40" s="33"/>
      <c r="U40" s="40" t="s">
        <v>16</v>
      </c>
      <c r="V40" s="26">
        <f>INT(0.004118*(((N40+2200.005)^2)-4856727))</f>
        <v>736</v>
      </c>
      <c r="W40" s="35"/>
    </row>
    <row r="41" spans="1:17" ht="12.75">
      <c r="A41" s="7"/>
      <c r="B41" s="8"/>
      <c r="C41" s="18"/>
      <c r="D41" s="8"/>
      <c r="E41" s="18"/>
      <c r="F41" s="8"/>
      <c r="G41" s="9"/>
      <c r="H41" s="9"/>
      <c r="I41" s="10"/>
      <c r="O41"/>
      <c r="Q41"/>
    </row>
    <row r="42" spans="3:17" ht="12.75">
      <c r="C42"/>
      <c r="E42"/>
      <c r="O42"/>
      <c r="Q42"/>
    </row>
    <row r="43" spans="3:17" ht="12.75">
      <c r="C43"/>
      <c r="E43"/>
      <c r="O43"/>
      <c r="Q43"/>
    </row>
    <row r="44" spans="15:17" ht="12.75">
      <c r="O44"/>
      <c r="Q44"/>
    </row>
    <row r="47" ht="12.75" customHeight="1"/>
  </sheetData>
  <mergeCells count="43">
    <mergeCell ref="N37:R37"/>
    <mergeCell ref="N38:R38"/>
    <mergeCell ref="N39:R39"/>
    <mergeCell ref="N40:R40"/>
    <mergeCell ref="N33:R33"/>
    <mergeCell ref="N34:R34"/>
    <mergeCell ref="N35:R35"/>
    <mergeCell ref="N36:R36"/>
    <mergeCell ref="N25:R25"/>
    <mergeCell ref="N26:R26"/>
    <mergeCell ref="N27:R27"/>
    <mergeCell ref="N30:R30"/>
    <mergeCell ref="N10:R10"/>
    <mergeCell ref="N22:R22"/>
    <mergeCell ref="N23:R23"/>
    <mergeCell ref="N24:R24"/>
    <mergeCell ref="B40:F40"/>
    <mergeCell ref="J3:K3"/>
    <mergeCell ref="B6:F6"/>
    <mergeCell ref="V3:W3"/>
    <mergeCell ref="N4:R4"/>
    <mergeCell ref="N5:R5"/>
    <mergeCell ref="N6:R6"/>
    <mergeCell ref="N7:R7"/>
    <mergeCell ref="N8:R8"/>
    <mergeCell ref="N9:R9"/>
    <mergeCell ref="B37:F37"/>
    <mergeCell ref="B35:F35"/>
    <mergeCell ref="B38:F38"/>
    <mergeCell ref="B39:F39"/>
    <mergeCell ref="B30:F30"/>
    <mergeCell ref="B33:F33"/>
    <mergeCell ref="B34:F34"/>
    <mergeCell ref="B36:F36"/>
    <mergeCell ref="B24:F24"/>
    <mergeCell ref="B9:F9"/>
    <mergeCell ref="B10:F10"/>
    <mergeCell ref="B22:F22"/>
    <mergeCell ref="B23:F23"/>
    <mergeCell ref="B4:F4"/>
    <mergeCell ref="B5:F5"/>
    <mergeCell ref="B7:F7"/>
    <mergeCell ref="B8:F8"/>
  </mergeCells>
  <printOptions/>
  <pageMargins left="0.75" right="0.75" top="1" bottom="1" header="0.4921259845" footer="0.4921259845"/>
  <pageSetup orientation="portrait" paperSize="9" r:id="rId2"/>
  <ignoredErrors>
    <ignoredError sqref="J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BLV-Nachwuchs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Isi's toller Vergleichsrechner</dc:title>
  <dc:subject>Vergleichsrechner verschiedener LA-Punktetabellen</dc:subject>
  <dc:creator>Isidor Fuchser</dc:creator>
  <cp:keywords/>
  <dc:description/>
  <cp:lastModifiedBy>Pablo Cassina</cp:lastModifiedBy>
  <dcterms:created xsi:type="dcterms:W3CDTF">2003-06-12T06:23:16Z</dcterms:created>
  <dcterms:modified xsi:type="dcterms:W3CDTF">2004-06-11T07:33:07Z</dcterms:modified>
  <cp:category/>
  <cp:version/>
  <cp:contentType/>
  <cp:contentStatus/>
</cp:coreProperties>
</file>